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970" activeTab="0"/>
  </bookViews>
  <sheets>
    <sheet name="Synthèse graph" sheetId="1" r:id="rId1"/>
    <sheet name="Budget par nature" sheetId="2" r:id="rId2"/>
    <sheet name="Analytique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<sst xmlns="http://schemas.openxmlformats.org/spreadsheetml/2006/main" count="125" uniqueCount="119">
  <si>
    <t>011 Charges à caractère général</t>
  </si>
  <si>
    <t>012 Charges de personnel</t>
  </si>
  <si>
    <t xml:space="preserve"> 65 Autres charges de gestion courante</t>
  </si>
  <si>
    <t xml:space="preserve"> 66 Charges financières</t>
  </si>
  <si>
    <t xml:space="preserve"> 67 Charges exceptionnelles</t>
  </si>
  <si>
    <t>Sous-total</t>
  </si>
  <si>
    <t xml:space="preserve"> 68 Dotation aux amortissements</t>
  </si>
  <si>
    <t xml:space="preserve"> 67 Valeur comptable des immo cédées</t>
  </si>
  <si>
    <t>Total dépenses</t>
  </si>
  <si>
    <t>Produits des services</t>
  </si>
  <si>
    <t>Dotations et participations</t>
  </si>
  <si>
    <t>Autres produits de gestion courante</t>
  </si>
  <si>
    <t>Produits financiers</t>
  </si>
  <si>
    <t>Produits exceptionnels</t>
  </si>
  <si>
    <t>Atténuation de charges</t>
  </si>
  <si>
    <t>Cessions d'immobilisations</t>
  </si>
  <si>
    <t xml:space="preserve"> 77 Produits des cessions</t>
  </si>
  <si>
    <t>Total Recettes</t>
  </si>
  <si>
    <t>Education</t>
  </si>
  <si>
    <t>Petite enfance</t>
  </si>
  <si>
    <t>Personnes âgées</t>
  </si>
  <si>
    <t>Aide sociale - dont CCAS</t>
  </si>
  <si>
    <t>Action culturelle</t>
  </si>
  <si>
    <t>Espace Paul Jargot</t>
  </si>
  <si>
    <t>Fêtes et vie locale</t>
  </si>
  <si>
    <t>Aides aux associations</t>
  </si>
  <si>
    <t>Bibliothèque</t>
  </si>
  <si>
    <t>Jeunesse</t>
  </si>
  <si>
    <t>MJC</t>
  </si>
  <si>
    <t>Espace Jeunes - Projo</t>
  </si>
  <si>
    <t>Divers - dont centre aéré</t>
  </si>
  <si>
    <t>Sport</t>
  </si>
  <si>
    <t>Equipements sportifs</t>
  </si>
  <si>
    <t>Cadre de vie &amp; Envirnt</t>
  </si>
  <si>
    <t>Eclairage public</t>
  </si>
  <si>
    <t>Envirt, espaces verts</t>
  </si>
  <si>
    <t>Urbanisme, foncier</t>
  </si>
  <si>
    <t>Patrimoine</t>
  </si>
  <si>
    <t>Entretien</t>
  </si>
  <si>
    <t>Manifestations, publications</t>
  </si>
  <si>
    <t>Information - communication</t>
  </si>
  <si>
    <t>Publications - journal, BIP</t>
  </si>
  <si>
    <t>Etats Généraux</t>
  </si>
  <si>
    <t>Divers - imprimés ….</t>
  </si>
  <si>
    <t>Administration générale</t>
  </si>
  <si>
    <t>Protocole - réceptions</t>
  </si>
  <si>
    <t>Incendie - risques - sécurité - police</t>
  </si>
  <si>
    <t>Développement économique</t>
  </si>
  <si>
    <t>Commerce, marchés</t>
  </si>
  <si>
    <t>Zone industrielle</t>
  </si>
  <si>
    <t>Frais financiers / fiscalité / dotations</t>
  </si>
  <si>
    <t>Sous-total opérations réelles</t>
  </si>
  <si>
    <t>Ecoles primaires et maternelles</t>
  </si>
  <si>
    <t>Restauration scolaire</t>
  </si>
  <si>
    <t>Transport scolaire</t>
  </si>
  <si>
    <t>Périscolaire</t>
  </si>
  <si>
    <t>Sport scolaire</t>
  </si>
  <si>
    <t>Classes de découverte</t>
  </si>
  <si>
    <t>Collège, lycée</t>
  </si>
  <si>
    <t>Divers - dont médecine, psychologie</t>
  </si>
  <si>
    <t>Extraits détaillés</t>
  </si>
  <si>
    <t>Energie - électricité</t>
  </si>
  <si>
    <t>Combustibles</t>
  </si>
  <si>
    <t>Carburants</t>
  </si>
  <si>
    <t>Fournitures de voirie</t>
  </si>
  <si>
    <t>Alimentation</t>
  </si>
  <si>
    <t>Entretiens de voies et réseaux</t>
  </si>
  <si>
    <t>Entretien matériel roulant</t>
  </si>
  <si>
    <t>Voyages et déplacements</t>
  </si>
  <si>
    <t>Indemnités élus</t>
  </si>
  <si>
    <t>Frais de mission élus</t>
  </si>
  <si>
    <t>Formation élus</t>
  </si>
  <si>
    <t>Intérêts des emprunts, dettes</t>
  </si>
  <si>
    <t>Recettes</t>
  </si>
  <si>
    <t>Contributions directes</t>
  </si>
  <si>
    <t>Taxe add droits de mutation</t>
  </si>
  <si>
    <t>Dotation forfaitaire (DGF)</t>
  </si>
  <si>
    <t>Attribution compensation TP / 2001</t>
  </si>
  <si>
    <t>Budget</t>
  </si>
  <si>
    <t>Sous-total dépenses réelles</t>
  </si>
  <si>
    <t>Sous-total des recettes réelles de fonctionnement</t>
  </si>
  <si>
    <t>Attribution du FDTP</t>
  </si>
  <si>
    <t>Ecart 2009 / 2006</t>
  </si>
  <si>
    <t>Interco - Contribution organ. Regroupement</t>
  </si>
  <si>
    <t>Ecart 2009 - 2008</t>
  </si>
  <si>
    <t>Ecart 2008 - 2006</t>
  </si>
  <si>
    <t>et régularisation / emprunts</t>
  </si>
  <si>
    <t>Sous-total Opérations d'ordre</t>
  </si>
  <si>
    <t xml:space="preserve"> 66 ICNE ???</t>
  </si>
  <si>
    <t xml:space="preserve"> 23 Virement à la section investissement</t>
  </si>
  <si>
    <t>Aide à l'emploi</t>
  </si>
  <si>
    <t>Divers et événements sportifs</t>
  </si>
  <si>
    <t>Social - santé - familles</t>
  </si>
  <si>
    <t>Autres fournitures non stockées</t>
  </si>
  <si>
    <t>CCAS</t>
  </si>
  <si>
    <t>Caisse des écoles</t>
  </si>
  <si>
    <t>Ecart 2009 - 2006</t>
  </si>
  <si>
    <t>Aide aux associations</t>
  </si>
  <si>
    <t>Présentation analytique du budget de fonctionnement - charge nette</t>
  </si>
  <si>
    <t>Réalisé</t>
  </si>
  <si>
    <t>en 2006 : contrat temps libre et projets hors contrat</t>
  </si>
  <si>
    <t>Impots et taxes</t>
  </si>
  <si>
    <t>CROLLES</t>
  </si>
  <si>
    <t>Données extraites des documents remis chaque année au conseil municipal à l'occasion du vote du budget</t>
  </si>
  <si>
    <t>En 2007 : dont 937 370 € pour "Annulation mandat Minalogic</t>
  </si>
  <si>
    <t>Actions jeunesse</t>
  </si>
  <si>
    <t>Divers action culturelle</t>
  </si>
  <si>
    <t>Voirie (entretien, propreté urbaine)</t>
  </si>
  <si>
    <t>Cessions de terrains</t>
  </si>
  <si>
    <t>L'emploi est dans Social</t>
  </si>
  <si>
    <t>Subvention fonct. Associations - aux personnes droit privé</t>
  </si>
  <si>
    <t>Dotation de solidarité communautaire</t>
  </si>
  <si>
    <t>Charges de personnel et charges à caractère général : + 24 %</t>
  </si>
  <si>
    <t>Evolution sur la période 2006 - 2009</t>
  </si>
  <si>
    <t>Sport, Culture, Animation, Patrimoine</t>
  </si>
  <si>
    <t>Social - tous les âges</t>
  </si>
  <si>
    <t>+ 53 % pour l'administration générale</t>
  </si>
  <si>
    <t>Les dépenses générales de l'administration communale augmentent deux fois plus vite que les dépenses spécifiques d'un domaine</t>
  </si>
  <si>
    <t>Mise à jour : 18 octobre 2009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</si>
</sst>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0.0%"/>
  </numFmts>
  <fonts count="13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12"/>
      <name val="Arial"/>
      <family val="0"/>
    </font>
    <font>
      <sz val="11"/>
      <color indexed="12"/>
      <name val="Arial"/>
      <family val="0"/>
    </font>
    <font>
      <i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.2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5" fontId="3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2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5" fontId="5" fillId="0" borderId="0" xfId="15" applyNumberFormat="1" applyFont="1" applyAlignment="1">
      <alignment/>
    </xf>
    <xf numFmtId="0" fontId="6" fillId="0" borderId="0" xfId="0" applyFont="1" applyAlignment="1">
      <alignment/>
    </xf>
    <xf numFmtId="9" fontId="2" fillId="0" borderId="0" xfId="19" applyFont="1" applyAlignment="1">
      <alignment/>
    </xf>
    <xf numFmtId="165" fontId="4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9" fontId="2" fillId="0" borderId="0" xfId="19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165" fontId="3" fillId="0" borderId="0" xfId="15" applyNumberFormat="1" applyFont="1" applyAlignment="1">
      <alignment vertical="center"/>
    </xf>
    <xf numFmtId="166" fontId="2" fillId="0" borderId="0" xfId="19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5" fontId="3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165" fontId="5" fillId="0" borderId="0" xfId="15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9" fontId="2" fillId="0" borderId="0" xfId="19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 quotePrefix="1">
      <alignment/>
    </xf>
    <xf numFmtId="0" fontId="10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2575"/>
          <c:w val="0.66225"/>
          <c:h val="0.9485"/>
        </c:manualLayout>
      </c:layout>
      <c:bar3DChart>
        <c:barDir val="col"/>
        <c:grouping val="stacked"/>
        <c:varyColors val="0"/>
        <c:ser>
          <c:idx val="0"/>
          <c:order val="0"/>
          <c:tx>
            <c:v>Charges à caractère général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'Budget par nature'!$B$3:$E$3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'Budget par nature'!$B$4:$E$4</c:f>
              <c:numCache>
                <c:ptCount val="4"/>
                <c:pt idx="0">
                  <c:v>3226417</c:v>
                </c:pt>
                <c:pt idx="1">
                  <c:v>3236241</c:v>
                </c:pt>
                <c:pt idx="2">
                  <c:v>3492494</c:v>
                </c:pt>
                <c:pt idx="3">
                  <c:v>4090750</c:v>
                </c:pt>
              </c:numCache>
            </c:numRef>
          </c:val>
          <c:shape val="box"/>
        </c:ser>
        <c:ser>
          <c:idx val="1"/>
          <c:order val="1"/>
          <c:tx>
            <c:v>Charges de personnel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'Budget par nature'!$B$3:$E$3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'Budget par nature'!$B$5:$E$5</c:f>
              <c:numCache>
                <c:ptCount val="4"/>
                <c:pt idx="0">
                  <c:v>7046431</c:v>
                </c:pt>
                <c:pt idx="1">
                  <c:v>7703297</c:v>
                </c:pt>
                <c:pt idx="2">
                  <c:v>8105825</c:v>
                </c:pt>
                <c:pt idx="3">
                  <c:v>8607000</c:v>
                </c:pt>
              </c:numCache>
            </c:numRef>
          </c:val>
          <c:shape val="box"/>
        </c:ser>
        <c:overlap val="100"/>
        <c:shape val="box"/>
        <c:axId val="42051076"/>
        <c:axId val="42915365"/>
      </c:bar3DChart>
      <c:catAx>
        <c:axId val="4205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915365"/>
        <c:crosses val="autoZero"/>
        <c:auto val="1"/>
        <c:lblOffset val="100"/>
        <c:noMultiLvlLbl val="0"/>
      </c:catAx>
      <c:valAx>
        <c:axId val="429153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510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75"/>
          <c:y val="0.020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Administration générale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Analytique!$C$4:$F$4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Analytique!$C$48:$F$48</c:f>
              <c:numCache>
                <c:ptCount val="4"/>
                <c:pt idx="0">
                  <c:v>2088127</c:v>
                </c:pt>
                <c:pt idx="1">
                  <c:v>2852339</c:v>
                </c:pt>
                <c:pt idx="2">
                  <c:v>3055255</c:v>
                </c:pt>
                <c:pt idx="3">
                  <c:v>3194796</c:v>
                </c:pt>
              </c:numCache>
            </c:numRef>
          </c:val>
          <c:smooth val="0"/>
        </c:ser>
        <c:ser>
          <c:idx val="1"/>
          <c:order val="1"/>
          <c:tx>
            <c:v>Education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Analytique!$C$4:$F$4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Analytique!$C$5:$F$5</c:f>
              <c:numCache>
                <c:ptCount val="4"/>
                <c:pt idx="0">
                  <c:v>2044003</c:v>
                </c:pt>
                <c:pt idx="1">
                  <c:v>1996110</c:v>
                </c:pt>
                <c:pt idx="2">
                  <c:v>1931211</c:v>
                </c:pt>
                <c:pt idx="3">
                  <c:v>2024050</c:v>
                </c:pt>
              </c:numCache>
            </c:numRef>
          </c:val>
          <c:smooth val="0"/>
        </c:ser>
        <c:ser>
          <c:idx val="2"/>
          <c:order val="2"/>
          <c:tx>
            <c:v>Cadre de vie environnement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Analytique!$C$4:$F$4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Analytique!$C$36:$F$36</c:f>
              <c:numCache>
                <c:ptCount val="4"/>
                <c:pt idx="0">
                  <c:v>2685523</c:v>
                </c:pt>
                <c:pt idx="1">
                  <c:v>2679802</c:v>
                </c:pt>
                <c:pt idx="2">
                  <c:v>2827365</c:v>
                </c:pt>
                <c:pt idx="3">
                  <c:v>3204590</c:v>
                </c:pt>
              </c:numCache>
            </c:numRef>
          </c:val>
          <c:smooth val="0"/>
        </c:ser>
        <c:ser>
          <c:idx val="3"/>
          <c:order val="3"/>
          <c:tx>
            <c:v>Sport Culture Patrimoine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Analytique!$C$59:$F$59</c:f>
              <c:numCache>
                <c:ptCount val="4"/>
                <c:pt idx="0">
                  <c:v>1597013</c:v>
                </c:pt>
                <c:pt idx="1">
                  <c:v>1547710</c:v>
                </c:pt>
                <c:pt idx="2">
                  <c:v>1719554</c:v>
                </c:pt>
                <c:pt idx="3">
                  <c:v>1971010</c:v>
                </c:pt>
              </c:numCache>
            </c:numRef>
          </c:val>
          <c:smooth val="0"/>
        </c:ser>
        <c:ser>
          <c:idx val="4"/>
          <c:order val="4"/>
          <c:tx>
            <c:v>Social - tous les âges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Analytique!$C$60:$F$60</c:f>
              <c:numCache>
                <c:ptCount val="4"/>
                <c:pt idx="0">
                  <c:v>1231546</c:v>
                </c:pt>
                <c:pt idx="1">
                  <c:v>1373166</c:v>
                </c:pt>
                <c:pt idx="2">
                  <c:v>1307737</c:v>
                </c:pt>
                <c:pt idx="3">
                  <c:v>1567959</c:v>
                </c:pt>
              </c:numCache>
            </c:numRef>
          </c:val>
          <c:smooth val="0"/>
        </c:ser>
        <c:marker val="1"/>
        <c:axId val="50693966"/>
        <c:axId val="53592511"/>
      </c:lineChart>
      <c:catAx>
        <c:axId val="5069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92511"/>
        <c:crosses val="autoZero"/>
        <c:auto val="1"/>
        <c:lblOffset val="100"/>
        <c:noMultiLvlLbl val="0"/>
      </c:catAx>
      <c:valAx>
        <c:axId val="53592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93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Le désendettement réduit les charges financières : 
 -30 %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Charges financières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'Budget par nature'!$B$3:$E$3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'Budget par nature'!$B$7:$E$7</c:f>
              <c:numCache>
                <c:ptCount val="4"/>
                <c:pt idx="0">
                  <c:v>823990</c:v>
                </c:pt>
                <c:pt idx="1">
                  <c:v>658227</c:v>
                </c:pt>
                <c:pt idx="2">
                  <c:v>594577</c:v>
                </c:pt>
                <c:pt idx="3">
                  <c:v>579800</c:v>
                </c:pt>
              </c:numCache>
            </c:numRef>
          </c:val>
          <c:smooth val="0"/>
        </c:ser>
        <c:marker val="1"/>
        <c:axId val="12570552"/>
        <c:axId val="46026105"/>
      </c:lineChart>
      <c:catAx>
        <c:axId val="12570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26105"/>
        <c:crosses val="autoZero"/>
        <c:auto val="1"/>
        <c:lblOffset val="100"/>
        <c:noMultiLvlLbl val="0"/>
      </c:catAx>
      <c:valAx>
        <c:axId val="46026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70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152400</xdr:rowOff>
    </xdr:from>
    <xdr:to>
      <xdr:col>8</xdr:col>
      <xdr:colOff>514350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238125" y="1314450"/>
        <a:ext cx="58483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7</xdr:row>
      <xdr:rowOff>0</xdr:rowOff>
    </xdr:from>
    <xdr:to>
      <xdr:col>16</xdr:col>
      <xdr:colOff>171450</xdr:colOff>
      <xdr:row>24</xdr:row>
      <xdr:rowOff>133350</xdr:rowOff>
    </xdr:to>
    <xdr:graphicFrame>
      <xdr:nvGraphicFramePr>
        <xdr:cNvPr id="2" name="Chart 2"/>
        <xdr:cNvGraphicFramePr/>
      </xdr:nvGraphicFramePr>
      <xdr:xfrm>
        <a:off x="6334125" y="1485900"/>
        <a:ext cx="55054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533400</xdr:colOff>
      <xdr:row>30</xdr:row>
      <xdr:rowOff>66675</xdr:rowOff>
    </xdr:from>
    <xdr:to>
      <xdr:col>10</xdr:col>
      <xdr:colOff>333375</xdr:colOff>
      <xdr:row>48</xdr:row>
      <xdr:rowOff>38100</xdr:rowOff>
    </xdr:to>
    <xdr:graphicFrame>
      <xdr:nvGraphicFramePr>
        <xdr:cNvPr id="3" name="Chart 3"/>
        <xdr:cNvGraphicFramePr/>
      </xdr:nvGraphicFramePr>
      <xdr:xfrm>
        <a:off x="1533525" y="5276850"/>
        <a:ext cx="58959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"/>
  <sheetViews>
    <sheetView tabSelected="1" workbookViewId="0" topLeftCell="A15">
      <selection activeCell="M31" sqref="M31"/>
    </sheetView>
  </sheetViews>
  <sheetFormatPr defaultColWidth="11.421875" defaultRowHeight="12.75"/>
  <cols>
    <col min="1" max="1" width="3.57421875" style="0" customWidth="1"/>
  </cols>
  <sheetData>
    <row r="1" ht="12.75">
      <c r="B1" t="s">
        <v>118</v>
      </c>
    </row>
    <row r="2" spans="2:14" ht="20.25">
      <c r="B2" s="28" t="s">
        <v>102</v>
      </c>
      <c r="J2" s="39" t="s">
        <v>117</v>
      </c>
      <c r="K2" s="39"/>
      <c r="L2" s="39"/>
      <c r="M2" s="39"/>
      <c r="N2" s="39"/>
    </row>
    <row r="3" spans="2:14" ht="30" customHeight="1">
      <c r="B3" s="27" t="s">
        <v>113</v>
      </c>
      <c r="J3" s="39"/>
      <c r="K3" s="39"/>
      <c r="L3" s="39"/>
      <c r="M3" s="39"/>
      <c r="N3" s="39"/>
    </row>
    <row r="5" spans="2:10" ht="15.75">
      <c r="B5" s="3" t="s">
        <v>112</v>
      </c>
      <c r="J5" s="38" t="s">
        <v>116</v>
      </c>
    </row>
  </sheetData>
  <mergeCells count="1">
    <mergeCell ref="J2:N3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26" sqref="D26"/>
    </sheetView>
  </sheetViews>
  <sheetFormatPr defaultColWidth="11.421875" defaultRowHeight="12.75"/>
  <cols>
    <col min="1" max="1" width="40.8515625" style="1" customWidth="1"/>
    <col min="2" max="2" width="17.421875" style="1" bestFit="1" customWidth="1"/>
    <col min="3" max="3" width="16.28125" style="2" bestFit="1" customWidth="1"/>
    <col min="4" max="4" width="14.28125" style="2" customWidth="1"/>
    <col min="5" max="5" width="17.140625" style="10" customWidth="1"/>
    <col min="6" max="6" width="15.421875" style="12" customWidth="1"/>
    <col min="7" max="7" width="11.421875" style="13" customWidth="1"/>
    <col min="8" max="8" width="11.421875" style="1" customWidth="1"/>
    <col min="9" max="9" width="26.57421875" style="1" customWidth="1"/>
    <col min="10" max="16384" width="11.421875" style="1" customWidth="1"/>
  </cols>
  <sheetData>
    <row r="1" spans="1:5" ht="18">
      <c r="A1" s="33" t="s">
        <v>103</v>
      </c>
      <c r="B1" s="30" t="s">
        <v>102</v>
      </c>
      <c r="C1" s="30"/>
      <c r="D1" s="30"/>
      <c r="E1" s="30"/>
    </row>
    <row r="2" spans="1:8" ht="14.25">
      <c r="A2" s="33"/>
      <c r="B2" s="34" t="s">
        <v>99</v>
      </c>
      <c r="C2" s="34"/>
      <c r="D2" s="34"/>
      <c r="E2" s="22" t="s">
        <v>78</v>
      </c>
      <c r="F2" s="31" t="s">
        <v>85</v>
      </c>
      <c r="G2" s="31" t="s">
        <v>84</v>
      </c>
      <c r="H2" s="32" t="s">
        <v>82</v>
      </c>
    </row>
    <row r="3" spans="1:8" ht="15">
      <c r="A3" s="33"/>
      <c r="B3" s="6">
        <v>2006</v>
      </c>
      <c r="C3" s="24">
        <v>2007</v>
      </c>
      <c r="D3" s="24">
        <v>2008</v>
      </c>
      <c r="E3" s="9">
        <v>2009</v>
      </c>
      <c r="F3" s="31"/>
      <c r="G3" s="31"/>
      <c r="H3" s="32"/>
    </row>
    <row r="4" spans="1:9" ht="14.25">
      <c r="A4" s="1" t="s">
        <v>0</v>
      </c>
      <c r="B4" s="2">
        <v>3226417</v>
      </c>
      <c r="C4" s="2">
        <v>3236241</v>
      </c>
      <c r="D4" s="2">
        <v>3492494</v>
      </c>
      <c r="E4" s="11">
        <v>4090750</v>
      </c>
      <c r="F4" s="21">
        <f aca="true" t="shared" si="0" ref="F4:F9">(D4-B4)/B4</f>
        <v>0.08246826123219658</v>
      </c>
      <c r="G4" s="21">
        <f aca="true" t="shared" si="1" ref="G4:G9">(E4-D4)/D4</f>
        <v>0.17129764575114517</v>
      </c>
      <c r="H4" s="17">
        <f aca="true" t="shared" si="2" ref="H4:H9">(E4-B4)/B4</f>
        <v>0.26789252598160745</v>
      </c>
      <c r="I4" s="31">
        <f>(E4-B4+E5-B5)/(B4+B5)</f>
        <v>0.23604963297422488</v>
      </c>
    </row>
    <row r="5" spans="1:10" ht="14.25">
      <c r="A5" s="1" t="s">
        <v>1</v>
      </c>
      <c r="B5" s="2">
        <v>7046431</v>
      </c>
      <c r="C5" s="2">
        <v>7703297</v>
      </c>
      <c r="D5" s="2">
        <v>8105825</v>
      </c>
      <c r="E5" s="11">
        <v>8607000</v>
      </c>
      <c r="F5" s="21">
        <f t="shared" si="0"/>
        <v>0.15034476318578865</v>
      </c>
      <c r="G5" s="21">
        <f t="shared" si="1"/>
        <v>0.06182899334737673</v>
      </c>
      <c r="H5" s="17">
        <f t="shared" si="2"/>
        <v>0.22146942189599245</v>
      </c>
      <c r="I5" s="31"/>
      <c r="J5" s="13"/>
    </row>
    <row r="6" spans="1:8" ht="14.25">
      <c r="A6" s="1" t="s">
        <v>2</v>
      </c>
      <c r="B6" s="2">
        <v>2672700</v>
      </c>
      <c r="C6" s="2">
        <v>2697704</v>
      </c>
      <c r="D6" s="2">
        <v>2793824</v>
      </c>
      <c r="E6" s="11">
        <v>2895050</v>
      </c>
      <c r="F6" s="21">
        <f t="shared" si="0"/>
        <v>0.04531896583978748</v>
      </c>
      <c r="G6" s="21">
        <f t="shared" si="1"/>
        <v>0.03623206043043513</v>
      </c>
      <c r="H6" s="17">
        <f t="shared" si="2"/>
        <v>0.08319302577917462</v>
      </c>
    </row>
    <row r="7" spans="1:9" ht="14.25">
      <c r="A7" s="1" t="s">
        <v>3</v>
      </c>
      <c r="B7" s="2">
        <v>823990</v>
      </c>
      <c r="C7" s="2">
        <v>658227</v>
      </c>
      <c r="D7" s="2">
        <v>594577</v>
      </c>
      <c r="E7" s="11">
        <v>579800</v>
      </c>
      <c r="F7" s="21">
        <f t="shared" si="0"/>
        <v>-0.2784172138011384</v>
      </c>
      <c r="G7" s="21">
        <f t="shared" si="1"/>
        <v>-0.024852962694487005</v>
      </c>
      <c r="H7" s="17">
        <f t="shared" si="2"/>
        <v>-0.29635068386752267</v>
      </c>
      <c r="I7" s="23"/>
    </row>
    <row r="8" spans="1:8" ht="14.25">
      <c r="A8" s="1" t="s">
        <v>4</v>
      </c>
      <c r="B8" s="2">
        <v>402653</v>
      </c>
      <c r="C8" s="2">
        <v>121279</v>
      </c>
      <c r="D8" s="2">
        <v>107673</v>
      </c>
      <c r="E8" s="11">
        <v>130150</v>
      </c>
      <c r="F8" s="21">
        <f t="shared" si="0"/>
        <v>-0.7325910895982397</v>
      </c>
      <c r="G8" s="21">
        <f t="shared" si="1"/>
        <v>0.20875242632786306</v>
      </c>
      <c r="H8" s="17">
        <f t="shared" si="2"/>
        <v>-0.676768830730182</v>
      </c>
    </row>
    <row r="9" spans="1:8" ht="15">
      <c r="A9" s="4" t="s">
        <v>79</v>
      </c>
      <c r="B9" s="5">
        <f>SUM(B4:B8)</f>
        <v>14172191</v>
      </c>
      <c r="C9" s="5">
        <f>SUM(C4:C8)</f>
        <v>14416748</v>
      </c>
      <c r="D9" s="5">
        <f>SUM(D4:D8)</f>
        <v>15094393</v>
      </c>
      <c r="E9" s="5">
        <f>SUM(E4:E8)</f>
        <v>16302750</v>
      </c>
      <c r="F9" s="21">
        <f t="shared" si="0"/>
        <v>0.06507123704443442</v>
      </c>
      <c r="G9" s="21">
        <f t="shared" si="1"/>
        <v>0.08005336816127684</v>
      </c>
      <c r="H9" s="17">
        <f t="shared" si="2"/>
        <v>0.15033377690153907</v>
      </c>
    </row>
    <row r="11" spans="1:6" ht="14.25">
      <c r="A11" s="1" t="s">
        <v>6</v>
      </c>
      <c r="B11" s="2">
        <v>3122871</v>
      </c>
      <c r="C11" s="2">
        <v>5741997</v>
      </c>
      <c r="D11" s="2">
        <v>6898619</v>
      </c>
      <c r="E11" s="11">
        <v>7122000</v>
      </c>
      <c r="F11" s="21">
        <f aca="true" t="shared" si="3" ref="F11:F16">(D11-B11)/B11</f>
        <v>1.2090630704886625</v>
      </c>
    </row>
    <row r="12" spans="1:6" ht="14.25">
      <c r="A12" s="1" t="s">
        <v>89</v>
      </c>
      <c r="B12" s="2"/>
      <c r="E12" s="11"/>
      <c r="F12" s="21"/>
    </row>
    <row r="13" spans="1:6" ht="14.25">
      <c r="A13" s="1" t="s">
        <v>88</v>
      </c>
      <c r="B13" s="2">
        <v>-9711</v>
      </c>
      <c r="C13" s="2">
        <v>20988</v>
      </c>
      <c r="E13" s="11"/>
      <c r="F13" s="21">
        <f t="shared" si="3"/>
        <v>-1</v>
      </c>
    </row>
    <row r="14" spans="1:6" ht="14.25">
      <c r="A14" s="1" t="s">
        <v>7</v>
      </c>
      <c r="B14" s="2">
        <v>467600</v>
      </c>
      <c r="C14" s="2">
        <v>486684</v>
      </c>
      <c r="D14" s="2">
        <v>840296</v>
      </c>
      <c r="E14" s="11"/>
      <c r="F14" s="21">
        <f t="shared" si="3"/>
        <v>0.7970402053036784</v>
      </c>
    </row>
    <row r="15" spans="1:6" ht="14.25">
      <c r="A15" s="1" t="s">
        <v>86</v>
      </c>
      <c r="B15" s="2"/>
      <c r="D15" s="2">
        <v>721769</v>
      </c>
      <c r="E15" s="11"/>
      <c r="F15" s="21"/>
    </row>
    <row r="16" spans="1:6" ht="15">
      <c r="A16" s="4" t="s">
        <v>87</v>
      </c>
      <c r="B16" s="5">
        <f>SUM(B11:B14)</f>
        <v>3580760</v>
      </c>
      <c r="C16" s="5">
        <f>SUM(C11:C14)</f>
        <v>6249669</v>
      </c>
      <c r="D16" s="2">
        <f>SUM(D11:D15)</f>
        <v>8460684</v>
      </c>
      <c r="E16" s="11">
        <v>8468550</v>
      </c>
      <c r="F16" s="21">
        <f t="shared" si="3"/>
        <v>1.3628179492621677</v>
      </c>
    </row>
    <row r="17" ht="14.25">
      <c r="B17" s="2"/>
    </row>
    <row r="18" spans="1:5" ht="15">
      <c r="A18" s="3" t="s">
        <v>8</v>
      </c>
      <c r="B18" s="5">
        <f>B16+B9</f>
        <v>17752951</v>
      </c>
      <c r="C18" s="5">
        <f>C16+C9</f>
        <v>20666417</v>
      </c>
      <c r="D18" s="5">
        <f>D16+D9</f>
        <v>23555077</v>
      </c>
      <c r="E18" s="5">
        <f>E16+E9</f>
        <v>24771300</v>
      </c>
    </row>
    <row r="19" ht="14.25">
      <c r="B19" s="2"/>
    </row>
    <row r="20" spans="1:8" ht="14.25">
      <c r="A20" s="15" t="s">
        <v>9</v>
      </c>
      <c r="B20" s="2">
        <v>913099</v>
      </c>
      <c r="C20" s="2">
        <v>998914</v>
      </c>
      <c r="D20" s="2">
        <v>1019181</v>
      </c>
      <c r="E20" s="11">
        <v>1036300</v>
      </c>
      <c r="F20" s="21">
        <f aca="true" t="shared" si="4" ref="F20:F27">(D20-B20)/B20</f>
        <v>0.11617798289123085</v>
      </c>
      <c r="G20" s="21">
        <f aca="true" t="shared" si="5" ref="G20:G62">(E20-D20)/D20</f>
        <v>0.01679682019189918</v>
      </c>
      <c r="H20" s="17">
        <f aca="true" t="shared" si="6" ref="H20:H27">(E20-B20)/B20</f>
        <v>0.13492622377201158</v>
      </c>
    </row>
    <row r="21" spans="1:8" ht="14.25">
      <c r="A21" s="1" t="s">
        <v>101</v>
      </c>
      <c r="B21" s="2">
        <v>26934553</v>
      </c>
      <c r="C21" s="2">
        <v>27809081</v>
      </c>
      <c r="D21" s="2">
        <v>21130132</v>
      </c>
      <c r="E21" s="11">
        <v>19647100</v>
      </c>
      <c r="F21" s="21">
        <f t="shared" si="4"/>
        <v>-0.21550092180850375</v>
      </c>
      <c r="G21" s="21">
        <f t="shared" si="5"/>
        <v>-0.07018564768076224</v>
      </c>
      <c r="H21" s="17">
        <f t="shared" si="6"/>
        <v>-0.27056149771633486</v>
      </c>
    </row>
    <row r="22" spans="1:8" ht="14.25">
      <c r="A22" s="1" t="s">
        <v>10</v>
      </c>
      <c r="B22" s="2">
        <v>3966689</v>
      </c>
      <c r="C22" s="2">
        <v>4349218</v>
      </c>
      <c r="D22" s="2">
        <v>3674263</v>
      </c>
      <c r="E22" s="11">
        <v>3541100</v>
      </c>
      <c r="F22" s="21">
        <f t="shared" si="4"/>
        <v>-0.07372042527155519</v>
      </c>
      <c r="G22" s="21">
        <f t="shared" si="5"/>
        <v>-0.036242098075178614</v>
      </c>
      <c r="H22" s="17">
        <f t="shared" si="6"/>
        <v>-0.10729074046389823</v>
      </c>
    </row>
    <row r="23" spans="1:8" ht="14.25">
      <c r="A23" s="1" t="s">
        <v>11</v>
      </c>
      <c r="B23" s="2">
        <v>217454</v>
      </c>
      <c r="C23" s="2">
        <v>207731</v>
      </c>
      <c r="D23" s="2">
        <v>231855</v>
      </c>
      <c r="E23" s="11">
        <v>333900</v>
      </c>
      <c r="F23" s="21">
        <f t="shared" si="4"/>
        <v>0.06622550056563688</v>
      </c>
      <c r="G23" s="21">
        <f t="shared" si="5"/>
        <v>0.4401242155657631</v>
      </c>
      <c r="H23" s="17">
        <f t="shared" si="6"/>
        <v>0.5354971626183009</v>
      </c>
    </row>
    <row r="24" spans="1:8" ht="14.25">
      <c r="A24" s="1" t="s">
        <v>12</v>
      </c>
      <c r="B24" s="2">
        <v>31527</v>
      </c>
      <c r="C24" s="2">
        <v>26712</v>
      </c>
      <c r="D24" s="2">
        <v>85851</v>
      </c>
      <c r="E24" s="11">
        <v>74400</v>
      </c>
      <c r="F24" s="21">
        <f t="shared" si="4"/>
        <v>1.7230944904367684</v>
      </c>
      <c r="G24" s="21">
        <f t="shared" si="5"/>
        <v>-0.13338225530279205</v>
      </c>
      <c r="H24" s="17">
        <f t="shared" si="6"/>
        <v>1.359882005899705</v>
      </c>
    </row>
    <row r="25" spans="1:9" ht="14.25">
      <c r="A25" s="1" t="s">
        <v>13</v>
      </c>
      <c r="B25" s="2">
        <v>46026</v>
      </c>
      <c r="C25" s="2">
        <f>42825+937370</f>
        <v>980195</v>
      </c>
      <c r="D25" s="2">
        <v>14446</v>
      </c>
      <c r="E25" s="11">
        <v>11500</v>
      </c>
      <c r="F25" s="21">
        <f t="shared" si="4"/>
        <v>-0.6861339243036545</v>
      </c>
      <c r="G25" s="21">
        <f t="shared" si="5"/>
        <v>-0.2039318842586183</v>
      </c>
      <c r="H25" s="17">
        <f t="shared" si="6"/>
        <v>-0.7501412245252683</v>
      </c>
      <c r="I25" s="1" t="s">
        <v>104</v>
      </c>
    </row>
    <row r="26" spans="1:8" ht="14.25">
      <c r="A26" s="1" t="s">
        <v>14</v>
      </c>
      <c r="B26" s="2">
        <v>141235</v>
      </c>
      <c r="C26" s="2">
        <v>168741</v>
      </c>
      <c r="D26" s="2">
        <v>124152</v>
      </c>
      <c r="E26" s="11">
        <v>127000</v>
      </c>
      <c r="F26" s="21">
        <f t="shared" si="4"/>
        <v>-0.12095443763939534</v>
      </c>
      <c r="G26" s="21">
        <f t="shared" si="5"/>
        <v>0.022939622398350408</v>
      </c>
      <c r="H26" s="17">
        <f t="shared" si="6"/>
        <v>-0.10078946436789747</v>
      </c>
    </row>
    <row r="27" spans="1:8" s="19" customFormat="1" ht="30">
      <c r="A27" s="18" t="s">
        <v>80</v>
      </c>
      <c r="B27" s="20">
        <f>SUM(B20:B26)</f>
        <v>32250583</v>
      </c>
      <c r="C27" s="20">
        <f>SUM(C20:C26)</f>
        <v>34540592</v>
      </c>
      <c r="D27" s="20">
        <f>SUM(D20:D26)</f>
        <v>26279880</v>
      </c>
      <c r="E27" s="20">
        <f>SUM(E20:E26)</f>
        <v>24771300</v>
      </c>
      <c r="F27" s="21">
        <f t="shared" si="4"/>
        <v>-0.18513473074269696</v>
      </c>
      <c r="G27" s="21">
        <f t="shared" si="5"/>
        <v>-0.05740437170945986</v>
      </c>
      <c r="H27" s="17">
        <f t="shared" si="6"/>
        <v>-0.23191155955227227</v>
      </c>
    </row>
    <row r="28" spans="2:7" ht="14.25">
      <c r="B28" s="2"/>
      <c r="G28" s="21"/>
    </row>
    <row r="29" spans="1:7" ht="14.25">
      <c r="A29" s="1" t="s">
        <v>15</v>
      </c>
      <c r="B29" s="2"/>
      <c r="F29" s="21"/>
      <c r="G29" s="21"/>
    </row>
    <row r="30" spans="1:7" ht="14.25">
      <c r="A30" s="1" t="s">
        <v>16</v>
      </c>
      <c r="B30" s="2">
        <v>467600</v>
      </c>
      <c r="C30" s="2">
        <v>486684</v>
      </c>
      <c r="D30" s="2">
        <v>840296</v>
      </c>
      <c r="F30" s="21">
        <f>(D30-B30)/B30</f>
        <v>0.7970402053036784</v>
      </c>
      <c r="G30" s="21"/>
    </row>
    <row r="31" spans="1:7" ht="15">
      <c r="A31" s="4" t="s">
        <v>5</v>
      </c>
      <c r="B31" s="2">
        <f>B30</f>
        <v>467600</v>
      </c>
      <c r="C31" s="2">
        <f>C30</f>
        <v>486684</v>
      </c>
      <c r="D31" s="2">
        <f>D30</f>
        <v>840296</v>
      </c>
      <c r="F31" s="21">
        <f>(D31-B31)/B31</f>
        <v>0.7970402053036784</v>
      </c>
      <c r="G31" s="21"/>
    </row>
    <row r="32" spans="1:7" ht="15">
      <c r="A32" s="3" t="s">
        <v>17</v>
      </c>
      <c r="B32" s="5">
        <f>B30+B27</f>
        <v>32718183</v>
      </c>
      <c r="C32" s="5">
        <f>C30+C27</f>
        <v>35027276</v>
      </c>
      <c r="D32" s="5">
        <f>D30+D27</f>
        <v>27120176</v>
      </c>
      <c r="F32" s="21">
        <f>(D32-B32)/B32</f>
        <v>-0.1710977348589315</v>
      </c>
      <c r="G32" s="21"/>
    </row>
    <row r="33" ht="14.25">
      <c r="G33" s="21"/>
    </row>
    <row r="34" ht="14.25">
      <c r="G34" s="21"/>
    </row>
    <row r="35" spans="1:7" ht="18">
      <c r="A35" s="30" t="s">
        <v>60</v>
      </c>
      <c r="B35" s="30"/>
      <c r="C35" s="30"/>
      <c r="D35" s="30"/>
      <c r="E35" s="30"/>
      <c r="G35" s="21"/>
    </row>
    <row r="36" spans="1:8" ht="14.25">
      <c r="A36" s="1" t="s">
        <v>61</v>
      </c>
      <c r="B36" s="2">
        <v>457542</v>
      </c>
      <c r="C36" s="2">
        <v>494680</v>
      </c>
      <c r="D36" s="2">
        <v>378433</v>
      </c>
      <c r="E36" s="11">
        <v>610000</v>
      </c>
      <c r="F36" s="21">
        <f aca="true" t="shared" si="7" ref="F36:F62">(D36-B36)/B36</f>
        <v>-0.17289997421001788</v>
      </c>
      <c r="G36" s="21">
        <f t="shared" si="5"/>
        <v>0.6119101663966937</v>
      </c>
      <c r="H36" s="17">
        <f aca="true" t="shared" si="8" ref="H36:H62">(E36-B36)/B36</f>
        <v>0.33321094019783976</v>
      </c>
    </row>
    <row r="37" spans="1:8" ht="14.25">
      <c r="A37" s="1" t="s">
        <v>62</v>
      </c>
      <c r="B37" s="2">
        <v>6054</v>
      </c>
      <c r="D37" s="2">
        <v>1561</v>
      </c>
      <c r="E37" s="11">
        <v>17000</v>
      </c>
      <c r="F37" s="21">
        <f t="shared" si="7"/>
        <v>-0.7421539478031054</v>
      </c>
      <c r="G37" s="21">
        <f t="shared" si="5"/>
        <v>9.890454836643178</v>
      </c>
      <c r="H37" s="17">
        <f t="shared" si="8"/>
        <v>1.8080607862570202</v>
      </c>
    </row>
    <row r="38" spans="1:8" ht="14.25">
      <c r="A38" s="1" t="s">
        <v>63</v>
      </c>
      <c r="B38" s="2">
        <v>46678</v>
      </c>
      <c r="C38" s="2">
        <v>50294</v>
      </c>
      <c r="D38" s="2">
        <v>50045</v>
      </c>
      <c r="E38" s="11">
        <v>59000</v>
      </c>
      <c r="F38" s="21">
        <f t="shared" si="7"/>
        <v>0.0721324821114872</v>
      </c>
      <c r="G38" s="21">
        <f t="shared" si="5"/>
        <v>0.1789389549405535</v>
      </c>
      <c r="H38" s="17">
        <f t="shared" si="8"/>
        <v>0.2639787480183384</v>
      </c>
    </row>
    <row r="39" spans="1:8" ht="14.25">
      <c r="A39" s="1" t="s">
        <v>65</v>
      </c>
      <c r="B39" s="2">
        <v>218863</v>
      </c>
      <c r="C39" s="2">
        <v>230523</v>
      </c>
      <c r="D39" s="2">
        <v>253937</v>
      </c>
      <c r="E39" s="11">
        <v>270950</v>
      </c>
      <c r="F39" s="21">
        <f t="shared" si="7"/>
        <v>0.1602555023005259</v>
      </c>
      <c r="G39" s="21">
        <f t="shared" si="5"/>
        <v>0.0669969323099824</v>
      </c>
      <c r="H39" s="17">
        <f t="shared" si="8"/>
        <v>0.23798906165043887</v>
      </c>
    </row>
    <row r="40" spans="1:8" ht="14.25">
      <c r="A40" s="1" t="s">
        <v>93</v>
      </c>
      <c r="B40" s="2"/>
      <c r="C40" s="2">
        <v>151179</v>
      </c>
      <c r="D40" s="2">
        <v>152115</v>
      </c>
      <c r="E40" s="11"/>
      <c r="F40" s="21"/>
      <c r="G40" s="21">
        <f t="shared" si="5"/>
        <v>-1</v>
      </c>
      <c r="H40" s="17"/>
    </row>
    <row r="41" spans="1:8" ht="14.25">
      <c r="A41" s="1" t="s">
        <v>64</v>
      </c>
      <c r="B41" s="2">
        <v>138322</v>
      </c>
      <c r="C41" s="2">
        <v>161835</v>
      </c>
      <c r="D41" s="2">
        <v>135674</v>
      </c>
      <c r="E41" s="11">
        <v>160850</v>
      </c>
      <c r="F41" s="21">
        <f t="shared" si="7"/>
        <v>-0.019143737077254523</v>
      </c>
      <c r="G41" s="21">
        <f t="shared" si="5"/>
        <v>0.18556245116971565</v>
      </c>
      <c r="H41" s="17">
        <f t="shared" si="8"/>
        <v>0.1628663553158572</v>
      </c>
    </row>
    <row r="42" spans="1:8" ht="14.25">
      <c r="A42" s="1" t="s">
        <v>66</v>
      </c>
      <c r="B42" s="2">
        <v>338006</v>
      </c>
      <c r="C42" s="2">
        <v>261303</v>
      </c>
      <c r="D42" s="2">
        <v>282690</v>
      </c>
      <c r="E42" s="11">
        <v>380000</v>
      </c>
      <c r="F42" s="21">
        <f t="shared" si="7"/>
        <v>-0.16365389963491772</v>
      </c>
      <c r="G42" s="21">
        <f t="shared" si="5"/>
        <v>0.34422866037001665</v>
      </c>
      <c r="H42" s="17">
        <f t="shared" si="8"/>
        <v>0.12424039809944203</v>
      </c>
    </row>
    <row r="43" spans="1:8" ht="14.25">
      <c r="A43" s="1" t="s">
        <v>67</v>
      </c>
      <c r="B43" s="2">
        <v>49630</v>
      </c>
      <c r="C43" s="2">
        <v>38486</v>
      </c>
      <c r="D43" s="2">
        <v>34565</v>
      </c>
      <c r="E43" s="11">
        <v>41500</v>
      </c>
      <c r="F43" s="21">
        <f t="shared" si="7"/>
        <v>-0.3035462421922224</v>
      </c>
      <c r="G43" s="21">
        <f t="shared" si="5"/>
        <v>0.20063648199045278</v>
      </c>
      <c r="H43" s="17">
        <f t="shared" si="8"/>
        <v>-0.16381221035663912</v>
      </c>
    </row>
    <row r="44" spans="1:8" ht="14.25">
      <c r="A44" s="1" t="s">
        <v>68</v>
      </c>
      <c r="B44" s="2">
        <v>3585</v>
      </c>
      <c r="C44" s="2">
        <v>6785</v>
      </c>
      <c r="D44" s="2">
        <v>18113</v>
      </c>
      <c r="E44" s="11">
        <v>16450</v>
      </c>
      <c r="F44" s="21">
        <f t="shared" si="7"/>
        <v>4.052440725244073</v>
      </c>
      <c r="G44" s="21">
        <f t="shared" si="5"/>
        <v>-0.09181251035168111</v>
      </c>
      <c r="H44" s="17">
        <f t="shared" si="8"/>
        <v>3.588563458856346</v>
      </c>
    </row>
    <row r="45" spans="1:8" ht="14.25">
      <c r="A45" s="1" t="s">
        <v>69</v>
      </c>
      <c r="B45" s="2">
        <v>102014</v>
      </c>
      <c r="C45" s="2">
        <v>103121</v>
      </c>
      <c r="D45" s="2">
        <v>103700</v>
      </c>
      <c r="E45" s="11">
        <v>105000</v>
      </c>
      <c r="F45" s="21">
        <f t="shared" si="7"/>
        <v>0.016527143333267984</v>
      </c>
      <c r="G45" s="21">
        <f t="shared" si="5"/>
        <v>0.01253616200578592</v>
      </c>
      <c r="H45" s="17">
        <f t="shared" si="8"/>
        <v>0.029270492285372596</v>
      </c>
    </row>
    <row r="46" spans="1:8" ht="14.25">
      <c r="A46" s="1" t="s">
        <v>70</v>
      </c>
      <c r="B46" s="2">
        <v>1881</v>
      </c>
      <c r="C46" s="2">
        <v>4742</v>
      </c>
      <c r="D46" s="2">
        <v>1193</v>
      </c>
      <c r="E46" s="11">
        <v>6000</v>
      </c>
      <c r="F46" s="21">
        <f t="shared" si="7"/>
        <v>-0.36576289207868157</v>
      </c>
      <c r="G46" s="21">
        <f t="shared" si="5"/>
        <v>4.029337803855825</v>
      </c>
      <c r="H46" s="17">
        <f t="shared" si="8"/>
        <v>2.189792663476874</v>
      </c>
    </row>
    <row r="47" spans="1:8" ht="14.25">
      <c r="A47" s="1" t="s">
        <v>71</v>
      </c>
      <c r="B47" s="2">
        <v>252</v>
      </c>
      <c r="C47" s="2">
        <v>0</v>
      </c>
      <c r="D47" s="2">
        <v>570</v>
      </c>
      <c r="E47" s="11">
        <v>20750</v>
      </c>
      <c r="F47" s="21">
        <f t="shared" si="7"/>
        <v>1.2619047619047619</v>
      </c>
      <c r="G47" s="21">
        <f t="shared" si="5"/>
        <v>35.40350877192982</v>
      </c>
      <c r="H47" s="17">
        <f t="shared" si="8"/>
        <v>81.34126984126983</v>
      </c>
    </row>
    <row r="48" spans="2:8" ht="14.25">
      <c r="B48" s="2"/>
      <c r="E48" s="11"/>
      <c r="F48" s="21"/>
      <c r="G48" s="21"/>
      <c r="H48" s="17"/>
    </row>
    <row r="49" spans="1:8" ht="14.25">
      <c r="A49" s="1" t="s">
        <v>83</v>
      </c>
      <c r="B49" s="2">
        <v>1341728</v>
      </c>
      <c r="C49" s="2">
        <v>1449691</v>
      </c>
      <c r="D49" s="2">
        <v>1471693</v>
      </c>
      <c r="E49" s="11">
        <v>1542400</v>
      </c>
      <c r="F49" s="21">
        <f t="shared" si="7"/>
        <v>0.0968638949175988</v>
      </c>
      <c r="G49" s="21">
        <f t="shared" si="5"/>
        <v>0.0480446669244197</v>
      </c>
      <c r="H49" s="17">
        <f t="shared" si="8"/>
        <v>0.14956235541033652</v>
      </c>
    </row>
    <row r="50" spans="1:8" ht="14.25">
      <c r="A50" s="1" t="s">
        <v>94</v>
      </c>
      <c r="B50" s="2">
        <v>54000</v>
      </c>
      <c r="C50" s="2">
        <v>20300</v>
      </c>
      <c r="D50" s="2">
        <v>22700</v>
      </c>
      <c r="E50" s="11">
        <v>13900</v>
      </c>
      <c r="F50" s="21">
        <f t="shared" si="7"/>
        <v>-0.5796296296296296</v>
      </c>
      <c r="G50" s="21">
        <f t="shared" si="5"/>
        <v>-0.3876651982378855</v>
      </c>
      <c r="H50" s="17">
        <f t="shared" si="8"/>
        <v>-0.7425925925925926</v>
      </c>
    </row>
    <row r="51" spans="1:8" ht="14.25">
      <c r="A51" s="1" t="s">
        <v>95</v>
      </c>
      <c r="B51" s="2">
        <v>95019</v>
      </c>
      <c r="C51" s="2">
        <v>104422</v>
      </c>
      <c r="D51" s="2">
        <v>106249</v>
      </c>
      <c r="E51" s="11"/>
      <c r="F51" s="21">
        <f t="shared" si="7"/>
        <v>0.11818688893800187</v>
      </c>
      <c r="G51" s="21">
        <f t="shared" si="5"/>
        <v>-1</v>
      </c>
      <c r="H51" s="17">
        <f t="shared" si="8"/>
        <v>-1</v>
      </c>
    </row>
    <row r="52" spans="1:8" ht="28.5">
      <c r="A52" s="16" t="s">
        <v>110</v>
      </c>
      <c r="B52" s="2">
        <v>814979</v>
      </c>
      <c r="C52" s="2">
        <v>726718</v>
      </c>
      <c r="D52" s="2">
        <v>754353</v>
      </c>
      <c r="E52" s="11">
        <v>825900</v>
      </c>
      <c r="F52" s="21">
        <f t="shared" si="7"/>
        <v>-0.07438964684979613</v>
      </c>
      <c r="G52" s="21">
        <f t="shared" si="5"/>
        <v>0.09484551662152865</v>
      </c>
      <c r="H52" s="17">
        <f t="shared" si="8"/>
        <v>0.013400345284970533</v>
      </c>
    </row>
    <row r="53" spans="2:8" ht="14.25">
      <c r="B53" s="2"/>
      <c r="E53" s="11"/>
      <c r="F53" s="21" t="e">
        <f t="shared" si="7"/>
        <v>#DIV/0!</v>
      </c>
      <c r="G53" s="21" t="e">
        <f t="shared" si="5"/>
        <v>#DIV/0!</v>
      </c>
      <c r="H53" s="17"/>
    </row>
    <row r="54" spans="1:8" ht="14.25">
      <c r="A54" s="1" t="s">
        <v>72</v>
      </c>
      <c r="B54" s="2">
        <v>814278</v>
      </c>
      <c r="C54" s="2">
        <v>658227</v>
      </c>
      <c r="D54" s="2">
        <v>594577</v>
      </c>
      <c r="E54" s="11">
        <v>579800</v>
      </c>
      <c r="F54" s="21">
        <f t="shared" si="7"/>
        <v>-0.2698108017163671</v>
      </c>
      <c r="G54" s="21">
        <f t="shared" si="5"/>
        <v>-0.024852962694487005</v>
      </c>
      <c r="H54" s="17">
        <f t="shared" si="8"/>
        <v>-0.28795816662122764</v>
      </c>
    </row>
    <row r="55" spans="2:8" ht="14.25">
      <c r="B55" s="2"/>
      <c r="E55" s="11"/>
      <c r="F55" s="21" t="e">
        <f t="shared" si="7"/>
        <v>#DIV/0!</v>
      </c>
      <c r="G55" s="21" t="e">
        <f t="shared" si="5"/>
        <v>#DIV/0!</v>
      </c>
      <c r="H55" s="17"/>
    </row>
    <row r="56" spans="1:8" ht="15">
      <c r="A56" s="6" t="s">
        <v>73</v>
      </c>
      <c r="B56" s="2"/>
      <c r="E56" s="11"/>
      <c r="F56" s="21" t="e">
        <f t="shared" si="7"/>
        <v>#DIV/0!</v>
      </c>
      <c r="G56" s="21" t="e">
        <f t="shared" si="5"/>
        <v>#DIV/0!</v>
      </c>
      <c r="H56" s="17"/>
    </row>
    <row r="57" spans="1:8" ht="14.25">
      <c r="A57" s="1" t="s">
        <v>74</v>
      </c>
      <c r="B57" s="2">
        <v>4366383</v>
      </c>
      <c r="C57" s="2">
        <v>4514427</v>
      </c>
      <c r="D57" s="2">
        <v>4802496</v>
      </c>
      <c r="E57" s="11">
        <v>4959000</v>
      </c>
      <c r="F57" s="21">
        <f t="shared" si="7"/>
        <v>0.09987969447480902</v>
      </c>
      <c r="G57" s="21">
        <f t="shared" si="5"/>
        <v>0.03258805421180986</v>
      </c>
      <c r="H57" s="17">
        <f t="shared" si="8"/>
        <v>0.13572263358482295</v>
      </c>
    </row>
    <row r="58" spans="1:8" ht="14.25">
      <c r="A58" s="1" t="s">
        <v>77</v>
      </c>
      <c r="B58" s="2">
        <v>10300193</v>
      </c>
      <c r="C58" s="2">
        <v>10244441</v>
      </c>
      <c r="D58" s="2">
        <v>16035777</v>
      </c>
      <c r="E58" s="11">
        <v>14021900</v>
      </c>
      <c r="F58" s="21">
        <f t="shared" si="7"/>
        <v>0.5568423814971234</v>
      </c>
      <c r="G58" s="21">
        <f t="shared" si="5"/>
        <v>-0.12558649325193286</v>
      </c>
      <c r="H58" s="17">
        <f t="shared" si="8"/>
        <v>0.36132400625891187</v>
      </c>
    </row>
    <row r="59" spans="1:8" ht="14.25">
      <c r="A59" s="1" t="s">
        <v>111</v>
      </c>
      <c r="B59" s="2"/>
      <c r="C59" s="2">
        <v>12724997</v>
      </c>
      <c r="E59" s="11"/>
      <c r="F59" s="21"/>
      <c r="G59" s="21"/>
      <c r="H59" s="17"/>
    </row>
    <row r="60" spans="1:8" ht="14.25">
      <c r="A60" s="1" t="s">
        <v>75</v>
      </c>
      <c r="B60" s="2">
        <v>299147</v>
      </c>
      <c r="C60" s="2">
        <v>267568</v>
      </c>
      <c r="D60" s="2">
        <v>248969</v>
      </c>
      <c r="E60" s="11">
        <v>220000</v>
      </c>
      <c r="F60" s="21">
        <f t="shared" si="7"/>
        <v>-0.16773693201001513</v>
      </c>
      <c r="G60" s="21">
        <f t="shared" si="5"/>
        <v>-0.1163558515317168</v>
      </c>
      <c r="H60" s="17">
        <f t="shared" si="8"/>
        <v>-0.26457560998438895</v>
      </c>
    </row>
    <row r="61" spans="1:8" ht="14.25">
      <c r="A61" s="1" t="s">
        <v>76</v>
      </c>
      <c r="B61" s="2">
        <v>1116642</v>
      </c>
      <c r="C61" s="2">
        <v>1133255</v>
      </c>
      <c r="D61" s="2">
        <v>1147321</v>
      </c>
      <c r="E61" s="11">
        <v>1171000</v>
      </c>
      <c r="F61" s="21">
        <f t="shared" si="7"/>
        <v>0.02747433823911334</v>
      </c>
      <c r="G61" s="21">
        <f t="shared" si="5"/>
        <v>0.020638513545903892</v>
      </c>
      <c r="H61" s="17">
        <f t="shared" si="8"/>
        <v>0.04867988128692992</v>
      </c>
    </row>
    <row r="62" spans="1:8" ht="14.25">
      <c r="A62" s="1" t="s">
        <v>81</v>
      </c>
      <c r="B62" s="2">
        <v>1594328</v>
      </c>
      <c r="C62" s="2">
        <v>2107901</v>
      </c>
      <c r="D62" s="2">
        <v>1140193</v>
      </c>
      <c r="E62" s="11">
        <v>1160000</v>
      </c>
      <c r="F62" s="21">
        <f t="shared" si="7"/>
        <v>-0.28484414750289777</v>
      </c>
      <c r="G62" s="21">
        <f t="shared" si="5"/>
        <v>0.017371620418648422</v>
      </c>
      <c r="H62" s="17">
        <f t="shared" si="8"/>
        <v>-0.2724207314931432</v>
      </c>
    </row>
    <row r="64" spans="2:8" ht="14.25">
      <c r="B64" s="23"/>
      <c r="E64" s="23"/>
      <c r="H64" s="17"/>
    </row>
  </sheetData>
  <mergeCells count="8">
    <mergeCell ref="A35:E35"/>
    <mergeCell ref="I4:I5"/>
    <mergeCell ref="G2:G3"/>
    <mergeCell ref="H2:H3"/>
    <mergeCell ref="F2:F3"/>
    <mergeCell ref="A1:A3"/>
    <mergeCell ref="B2:D2"/>
    <mergeCell ref="B1:E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pane xSplit="3" ySplit="4" topLeftCell="D1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33" sqref="H33"/>
    </sheetView>
  </sheetViews>
  <sheetFormatPr defaultColWidth="11.421875" defaultRowHeight="12.75"/>
  <cols>
    <col min="1" max="1" width="11.421875" style="3" customWidth="1"/>
    <col min="2" max="2" width="32.8515625" style="1" customWidth="1"/>
    <col min="3" max="3" width="15.140625" style="1" customWidth="1"/>
    <col min="4" max="4" width="17.57421875" style="1" customWidth="1"/>
    <col min="5" max="5" width="15.57421875" style="1" customWidth="1"/>
    <col min="6" max="6" width="14.421875" style="25" customWidth="1"/>
    <col min="7" max="7" width="11.421875" style="1" customWidth="1"/>
    <col min="8" max="8" width="13.28125" style="1" bestFit="1" customWidth="1"/>
    <col min="9" max="16384" width="11.421875" style="1" customWidth="1"/>
  </cols>
  <sheetData>
    <row r="1" ht="18">
      <c r="C1" s="27" t="s">
        <v>102</v>
      </c>
    </row>
    <row r="2" spans="3:7" ht="15">
      <c r="C2" s="36" t="s">
        <v>98</v>
      </c>
      <c r="D2" s="36"/>
      <c r="E2" s="36"/>
      <c r="F2" s="36"/>
      <c r="G2" s="36"/>
    </row>
    <row r="3" spans="3:7" ht="15">
      <c r="C3" s="37" t="s">
        <v>99</v>
      </c>
      <c r="D3" s="37"/>
      <c r="E3" s="37"/>
      <c r="F3" s="29" t="s">
        <v>78</v>
      </c>
      <c r="G3" s="35" t="s">
        <v>96</v>
      </c>
    </row>
    <row r="4" spans="3:7" ht="15">
      <c r="C4" s="7">
        <v>2006</v>
      </c>
      <c r="D4" s="7">
        <v>2007</v>
      </c>
      <c r="E4" s="7">
        <v>2008</v>
      </c>
      <c r="F4" s="29">
        <v>2009</v>
      </c>
      <c r="G4" s="35"/>
    </row>
    <row r="5" spans="1:7" ht="15">
      <c r="A5" s="3" t="s">
        <v>18</v>
      </c>
      <c r="C5" s="5">
        <f>SUM(C6:C13)</f>
        <v>2044003</v>
      </c>
      <c r="D5" s="5">
        <f>SUM(D6:D13)</f>
        <v>1996110</v>
      </c>
      <c r="E5" s="5">
        <f>SUM(E6:E13)</f>
        <v>1931211</v>
      </c>
      <c r="F5" s="14">
        <f>SUM(F6:F13)</f>
        <v>2024050</v>
      </c>
      <c r="G5" s="13">
        <f>(F5-C5)/C5</f>
        <v>-0.009761727355586072</v>
      </c>
    </row>
    <row r="6" spans="2:7" ht="15">
      <c r="B6" s="1" t="s">
        <v>52</v>
      </c>
      <c r="C6" s="8">
        <v>1035679</v>
      </c>
      <c r="D6" s="2">
        <f>1010119-45836</f>
        <v>964283</v>
      </c>
      <c r="E6" s="2">
        <v>921121</v>
      </c>
      <c r="F6" s="26">
        <v>963279</v>
      </c>
      <c r="G6" s="13">
        <f aca="true" t="shared" si="0" ref="G6:G56">(F6-C6)/C6</f>
        <v>-0.06990582989517022</v>
      </c>
    </row>
    <row r="7" spans="2:7" ht="15">
      <c r="B7" s="1" t="s">
        <v>53</v>
      </c>
      <c r="C7" s="8">
        <v>476543</v>
      </c>
      <c r="D7" s="2">
        <f>1022838-578859</f>
        <v>443979</v>
      </c>
      <c r="E7" s="2">
        <v>455006</v>
      </c>
      <c r="F7" s="26">
        <v>442681</v>
      </c>
      <c r="G7" s="13">
        <f t="shared" si="0"/>
        <v>-0.07105759606163557</v>
      </c>
    </row>
    <row r="8" spans="2:7" ht="15">
      <c r="B8" s="1" t="s">
        <v>54</v>
      </c>
      <c r="C8" s="8">
        <v>136846</v>
      </c>
      <c r="D8" s="2">
        <f>139376-38</f>
        <v>139338</v>
      </c>
      <c r="E8" s="2">
        <v>120070</v>
      </c>
      <c r="F8" s="26">
        <v>95917</v>
      </c>
      <c r="G8" s="13">
        <f t="shared" si="0"/>
        <v>-0.29908802595618433</v>
      </c>
    </row>
    <row r="9" spans="2:7" ht="15">
      <c r="B9" s="1" t="s">
        <v>55</v>
      </c>
      <c r="C9" s="8">
        <v>53884</v>
      </c>
      <c r="D9" s="2">
        <f>110274-73060</f>
        <v>37214</v>
      </c>
      <c r="E9" s="2">
        <v>66888</v>
      </c>
      <c r="F9" s="26">
        <v>69416</v>
      </c>
      <c r="G9" s="13">
        <f t="shared" si="0"/>
        <v>0.2882488308217653</v>
      </c>
    </row>
    <row r="10" spans="2:7" ht="15">
      <c r="B10" s="1" t="s">
        <v>56</v>
      </c>
      <c r="C10" s="8">
        <v>75181</v>
      </c>
      <c r="D10" s="2">
        <f>87758-3336</f>
        <v>84422</v>
      </c>
      <c r="E10" s="2">
        <v>85426</v>
      </c>
      <c r="F10" s="26">
        <v>93498</v>
      </c>
      <c r="G10" s="13">
        <f t="shared" si="0"/>
        <v>0.24363868530612787</v>
      </c>
    </row>
    <row r="11" spans="2:7" ht="15">
      <c r="B11" s="1" t="s">
        <v>57</v>
      </c>
      <c r="C11" s="8">
        <v>0</v>
      </c>
      <c r="D11" s="2">
        <v>22134</v>
      </c>
      <c r="E11" s="2"/>
      <c r="F11" s="26">
        <v>20700</v>
      </c>
      <c r="G11" s="13"/>
    </row>
    <row r="12" spans="2:7" ht="15">
      <c r="B12" s="1" t="s">
        <v>58</v>
      </c>
      <c r="C12" s="8">
        <v>253977</v>
      </c>
      <c r="D12" s="2">
        <v>296978</v>
      </c>
      <c r="E12" s="2">
        <v>276183</v>
      </c>
      <c r="F12" s="26">
        <v>331046</v>
      </c>
      <c r="G12" s="13">
        <f t="shared" si="0"/>
        <v>0.3034487374841029</v>
      </c>
    </row>
    <row r="13" spans="2:7" ht="15">
      <c r="B13" s="1" t="s">
        <v>59</v>
      </c>
      <c r="C13" s="8">
        <v>11893</v>
      </c>
      <c r="D13" s="2">
        <v>7762</v>
      </c>
      <c r="E13" s="2">
        <v>6517</v>
      </c>
      <c r="F13" s="26">
        <v>7513</v>
      </c>
      <c r="G13" s="13">
        <f t="shared" si="0"/>
        <v>-0.3682838644580846</v>
      </c>
    </row>
    <row r="14" spans="1:8" ht="15">
      <c r="A14" s="3" t="s">
        <v>92</v>
      </c>
      <c r="C14" s="5">
        <f>SUM(C15:C19)</f>
        <v>807735</v>
      </c>
      <c r="D14" s="5">
        <f>SUM(D15:D19)</f>
        <v>824924</v>
      </c>
      <c r="E14" s="5">
        <f>SUM(E15:E19)</f>
        <v>876755</v>
      </c>
      <c r="F14" s="5">
        <f>SUM(F15:F19)</f>
        <v>1226277</v>
      </c>
      <c r="G14" s="13">
        <f t="shared" si="0"/>
        <v>0.5181674682909617</v>
      </c>
      <c r="H14" s="23">
        <f>F14-C14</f>
        <v>418542</v>
      </c>
    </row>
    <row r="15" spans="2:7" ht="15">
      <c r="B15" s="1" t="s">
        <v>19</v>
      </c>
      <c r="C15" s="2">
        <v>362421</v>
      </c>
      <c r="D15" s="2">
        <f>1387782-1010272</f>
        <v>377510</v>
      </c>
      <c r="E15" s="2">
        <v>317340</v>
      </c>
      <c r="F15" s="26">
        <v>465464</v>
      </c>
      <c r="G15" s="13">
        <f t="shared" si="0"/>
        <v>0.2843185135519189</v>
      </c>
    </row>
    <row r="16" spans="2:7" ht="15">
      <c r="B16" s="1" t="s">
        <v>20</v>
      </c>
      <c r="C16" s="2">
        <v>26601</v>
      </c>
      <c r="D16" s="2">
        <f>104099-63742</f>
        <v>40357</v>
      </c>
      <c r="E16" s="2">
        <v>71868</v>
      </c>
      <c r="F16" s="26">
        <v>49021</v>
      </c>
      <c r="G16" s="13">
        <f t="shared" si="0"/>
        <v>0.8428254576895605</v>
      </c>
    </row>
    <row r="17" spans="2:7" ht="15">
      <c r="B17" s="1" t="s">
        <v>21</v>
      </c>
      <c r="C17" s="2">
        <v>315086</v>
      </c>
      <c r="D17" s="2">
        <f>307576-21297</f>
        <v>286279</v>
      </c>
      <c r="E17" s="2">
        <v>373166</v>
      </c>
      <c r="F17" s="26">
        <v>395424</v>
      </c>
      <c r="G17" s="13">
        <f t="shared" si="0"/>
        <v>0.2549716585313216</v>
      </c>
    </row>
    <row r="18" spans="2:7" ht="15">
      <c r="B18" s="1" t="s">
        <v>90</v>
      </c>
      <c r="C18" s="2">
        <v>103627</v>
      </c>
      <c r="D18" s="2">
        <f>155446-34668</f>
        <v>120778</v>
      </c>
      <c r="E18" s="2">
        <v>114381</v>
      </c>
      <c r="F18" s="26">
        <v>258468</v>
      </c>
      <c r="G18" s="13">
        <f t="shared" si="0"/>
        <v>1.4942148281818446</v>
      </c>
    </row>
    <row r="19" spans="2:7" ht="15">
      <c r="B19" s="1" t="s">
        <v>97</v>
      </c>
      <c r="C19" s="2"/>
      <c r="D19" s="2"/>
      <c r="E19" s="2"/>
      <c r="F19" s="26">
        <v>57900</v>
      </c>
      <c r="G19" s="13"/>
    </row>
    <row r="20" spans="1:8" ht="15">
      <c r="A20" s="3" t="s">
        <v>22</v>
      </c>
      <c r="C20" s="5">
        <f>SUM(C21:C25)</f>
        <v>1045734</v>
      </c>
      <c r="D20" s="5">
        <f>SUM(D21:D25)</f>
        <v>1034739</v>
      </c>
      <c r="E20" s="5">
        <f>SUM(E21:E25)</f>
        <v>1101403</v>
      </c>
      <c r="F20" s="14">
        <f>SUM(F21:F25)</f>
        <v>1251071</v>
      </c>
      <c r="G20" s="13">
        <f t="shared" si="0"/>
        <v>0.196356817316832</v>
      </c>
      <c r="H20" s="23">
        <f>F20-C20</f>
        <v>205337</v>
      </c>
    </row>
    <row r="21" spans="2:7" ht="15">
      <c r="B21" s="1" t="s">
        <v>23</v>
      </c>
      <c r="C21" s="2">
        <v>287532</v>
      </c>
      <c r="D21" s="2">
        <f>374655-82002</f>
        <v>292653</v>
      </c>
      <c r="E21" s="2">
        <v>320015</v>
      </c>
      <c r="F21" s="26">
        <v>364509</v>
      </c>
      <c r="G21" s="13">
        <f t="shared" si="0"/>
        <v>0.26771628896957556</v>
      </c>
    </row>
    <row r="22" spans="2:7" ht="15">
      <c r="B22" s="1" t="s">
        <v>24</v>
      </c>
      <c r="C22" s="2">
        <v>38606</v>
      </c>
      <c r="D22" s="2">
        <f>79267-1189</f>
        <v>78078</v>
      </c>
      <c r="E22" s="2">
        <v>74546</v>
      </c>
      <c r="F22" s="26">
        <v>80840</v>
      </c>
      <c r="G22" s="13">
        <f t="shared" si="0"/>
        <v>1.093975029788116</v>
      </c>
    </row>
    <row r="23" spans="2:7" ht="15">
      <c r="B23" s="1" t="s">
        <v>25</v>
      </c>
      <c r="C23" s="2">
        <v>278347</v>
      </c>
      <c r="D23" s="2">
        <f>230948-471</f>
        <v>230477</v>
      </c>
      <c r="E23" s="2">
        <v>256966</v>
      </c>
      <c r="F23" s="26">
        <v>331899</v>
      </c>
      <c r="G23" s="13">
        <f t="shared" si="0"/>
        <v>0.1923929483701998</v>
      </c>
    </row>
    <row r="24" spans="2:7" ht="15">
      <c r="B24" s="1" t="s">
        <v>26</v>
      </c>
      <c r="C24" s="2">
        <v>338582</v>
      </c>
      <c r="D24" s="2">
        <f>356919-16079</f>
        <v>340840</v>
      </c>
      <c r="E24" s="2">
        <v>348573</v>
      </c>
      <c r="F24" s="26">
        <v>372896</v>
      </c>
      <c r="G24" s="13">
        <f t="shared" si="0"/>
        <v>0.10134620269240538</v>
      </c>
    </row>
    <row r="25" spans="2:7" ht="15">
      <c r="B25" s="1" t="s">
        <v>106</v>
      </c>
      <c r="C25" s="2">
        <v>102667</v>
      </c>
      <c r="D25" s="2">
        <f>109489-16798</f>
        <v>92691</v>
      </c>
      <c r="E25" s="2">
        <v>101303</v>
      </c>
      <c r="F25" s="26">
        <v>100927</v>
      </c>
      <c r="G25" s="13">
        <f t="shared" si="0"/>
        <v>-0.016947996922087916</v>
      </c>
    </row>
    <row r="26" spans="1:7" ht="15">
      <c r="A26" s="3" t="s">
        <v>27</v>
      </c>
      <c r="C26" s="5">
        <f>SUM(C27:C31)</f>
        <v>423811</v>
      </c>
      <c r="D26" s="5">
        <f>SUM(D27:D31)</f>
        <v>548242</v>
      </c>
      <c r="E26" s="5">
        <f>SUM(E27:E31)</f>
        <v>430982</v>
      </c>
      <c r="F26" s="14">
        <f>SUM(F27:F31)</f>
        <v>341682</v>
      </c>
      <c r="G26" s="13">
        <f t="shared" si="0"/>
        <v>-0.19378685310197233</v>
      </c>
    </row>
    <row r="27" spans="2:8" ht="15">
      <c r="B27" s="1" t="s">
        <v>105</v>
      </c>
      <c r="C27" s="2">
        <v>-41821</v>
      </c>
      <c r="D27" s="2">
        <f>55148-8697</f>
        <v>46451</v>
      </c>
      <c r="E27" s="2">
        <v>25882</v>
      </c>
      <c r="F27" s="26">
        <v>50342</v>
      </c>
      <c r="G27" s="13">
        <f t="shared" si="0"/>
        <v>-2.2037493125463286</v>
      </c>
      <c r="H27" s="1" t="s">
        <v>100</v>
      </c>
    </row>
    <row r="28" spans="2:7" ht="15">
      <c r="B28" s="1" t="s">
        <v>28</v>
      </c>
      <c r="C28" s="2">
        <v>285122</v>
      </c>
      <c r="D28" s="2">
        <f>274688-255</f>
        <v>274433</v>
      </c>
      <c r="E28" s="2">
        <v>273523</v>
      </c>
      <c r="F28" s="26">
        <v>279629</v>
      </c>
      <c r="G28" s="13">
        <f t="shared" si="0"/>
        <v>-0.0192654372514222</v>
      </c>
    </row>
    <row r="29" spans="2:7" ht="15">
      <c r="B29" s="1" t="s">
        <v>29</v>
      </c>
      <c r="C29" s="2">
        <v>89806</v>
      </c>
      <c r="D29" s="2">
        <f>152087-5554</f>
        <v>146533</v>
      </c>
      <c r="E29" s="2">
        <v>149281</v>
      </c>
      <c r="F29" s="26">
        <v>115477</v>
      </c>
      <c r="G29" s="13">
        <f t="shared" si="0"/>
        <v>0.28584949780638264</v>
      </c>
    </row>
    <row r="30" spans="2:7" ht="15">
      <c r="B30" s="1" t="s">
        <v>25</v>
      </c>
      <c r="C30" s="2">
        <v>77421</v>
      </c>
      <c r="D30" s="2">
        <v>27855</v>
      </c>
      <c r="E30" s="2">
        <v>-25125</v>
      </c>
      <c r="F30" s="26">
        <v>36448</v>
      </c>
      <c r="G30" s="13">
        <f t="shared" si="0"/>
        <v>-0.5292233373374149</v>
      </c>
    </row>
    <row r="31" spans="2:7" ht="15">
      <c r="B31" s="1" t="s">
        <v>30</v>
      </c>
      <c r="C31" s="2">
        <v>13283</v>
      </c>
      <c r="D31" s="2">
        <f>66216-13246</f>
        <v>52970</v>
      </c>
      <c r="E31" s="2">
        <v>7421</v>
      </c>
      <c r="F31" s="26">
        <v>-140214</v>
      </c>
      <c r="G31" s="13">
        <f t="shared" si="0"/>
        <v>-11.555898516901303</v>
      </c>
    </row>
    <row r="32" spans="1:7" ht="15">
      <c r="A32" s="3" t="s">
        <v>31</v>
      </c>
      <c r="C32" s="5">
        <f>SUM(C33:C35)</f>
        <v>533759</v>
      </c>
      <c r="D32" s="5">
        <f>SUM(D33:D35)</f>
        <v>457217</v>
      </c>
      <c r="E32" s="5">
        <f>SUM(E33:E35)</f>
        <v>611331</v>
      </c>
      <c r="F32" s="14">
        <f>SUM(F33:F35)</f>
        <v>676519</v>
      </c>
      <c r="G32" s="13">
        <f t="shared" si="0"/>
        <v>0.2674615322645614</v>
      </c>
    </row>
    <row r="33" spans="1:7" ht="14.25">
      <c r="A33" s="1"/>
      <c r="B33" s="1" t="s">
        <v>32</v>
      </c>
      <c r="C33" s="2">
        <v>365491</v>
      </c>
      <c r="D33" s="2">
        <f>285701-26938</f>
        <v>258763</v>
      </c>
      <c r="E33" s="2">
        <v>416613</v>
      </c>
      <c r="F33" s="26">
        <v>505070</v>
      </c>
      <c r="G33" s="13">
        <f t="shared" si="0"/>
        <v>0.38189449261404523</v>
      </c>
    </row>
    <row r="34" spans="2:7" ht="15">
      <c r="B34" s="1" t="s">
        <v>25</v>
      </c>
      <c r="C34" s="2">
        <v>168268</v>
      </c>
      <c r="D34" s="2">
        <v>94757</v>
      </c>
      <c r="E34" s="2">
        <v>95153</v>
      </c>
      <c r="F34" s="26">
        <v>102300</v>
      </c>
      <c r="G34" s="13">
        <f t="shared" si="0"/>
        <v>-0.3920412675018423</v>
      </c>
    </row>
    <row r="35" spans="2:7" ht="15">
      <c r="B35" s="1" t="s">
        <v>91</v>
      </c>
      <c r="C35" s="2"/>
      <c r="D35" s="2">
        <f>109874-6177</f>
        <v>103697</v>
      </c>
      <c r="E35" s="2">
        <v>99565</v>
      </c>
      <c r="F35" s="26">
        <v>69149</v>
      </c>
      <c r="G35" s="13"/>
    </row>
    <row r="36" spans="1:8" ht="15">
      <c r="A36" s="3" t="s">
        <v>33</v>
      </c>
      <c r="C36" s="5">
        <f>SUM(C37:C40)</f>
        <v>2685523</v>
      </c>
      <c r="D36" s="5">
        <f>SUM(D37:D40)</f>
        <v>2679802</v>
      </c>
      <c r="E36" s="5">
        <f>SUM(E37:E40)</f>
        <v>2827365</v>
      </c>
      <c r="F36" s="14">
        <f>SUM(F37:F40)</f>
        <v>3204590</v>
      </c>
      <c r="G36" s="13">
        <f t="shared" si="0"/>
        <v>0.19328339396087837</v>
      </c>
      <c r="H36" s="23">
        <f>F36-C36</f>
        <v>519067</v>
      </c>
    </row>
    <row r="37" spans="2:7" ht="15">
      <c r="B37" s="1" t="s">
        <v>107</v>
      </c>
      <c r="C37" s="2">
        <v>1822959</v>
      </c>
      <c r="D37" s="2">
        <f>1940069-33801</f>
        <v>1906268</v>
      </c>
      <c r="E37" s="2">
        <v>1949308</v>
      </c>
      <c r="F37" s="26">
        <v>2094822</v>
      </c>
      <c r="G37" s="13">
        <f t="shared" si="0"/>
        <v>0.1491328109957492</v>
      </c>
    </row>
    <row r="38" spans="2:7" ht="15">
      <c r="B38" s="1" t="s">
        <v>34</v>
      </c>
      <c r="C38" s="2">
        <v>208709</v>
      </c>
      <c r="D38" s="2">
        <f>157694-2154</f>
        <v>155540</v>
      </c>
      <c r="E38" s="2">
        <v>212141</v>
      </c>
      <c r="F38" s="26">
        <v>252990</v>
      </c>
      <c r="G38" s="13">
        <f t="shared" si="0"/>
        <v>0.2121662218687263</v>
      </c>
    </row>
    <row r="39" spans="2:7" ht="15">
      <c r="B39" s="1" t="s">
        <v>35</v>
      </c>
      <c r="C39" s="2">
        <v>524236</v>
      </c>
      <c r="D39" s="2">
        <f>547605-80127</f>
        <v>467478</v>
      </c>
      <c r="E39" s="2">
        <v>480196</v>
      </c>
      <c r="F39" s="26">
        <v>679288</v>
      </c>
      <c r="G39" s="13">
        <f t="shared" si="0"/>
        <v>0.295767555070617</v>
      </c>
    </row>
    <row r="40" spans="2:7" ht="15">
      <c r="B40" s="1" t="s">
        <v>36</v>
      </c>
      <c r="C40" s="2">
        <v>129619</v>
      </c>
      <c r="D40" s="2">
        <f>173473-22957</f>
        <v>150516</v>
      </c>
      <c r="E40" s="2">
        <v>185720</v>
      </c>
      <c r="F40" s="26">
        <v>177490</v>
      </c>
      <c r="G40" s="13">
        <f t="shared" si="0"/>
        <v>0.369320855738742</v>
      </c>
    </row>
    <row r="41" spans="1:7" ht="15">
      <c r="A41" s="3" t="s">
        <v>37</v>
      </c>
      <c r="C41" s="5">
        <f>SUM(C42:C43)</f>
        <v>17520</v>
      </c>
      <c r="D41" s="5">
        <f>59863-4109</f>
        <v>55754</v>
      </c>
      <c r="E41" s="5">
        <v>6820</v>
      </c>
      <c r="F41" s="14">
        <v>43420</v>
      </c>
      <c r="G41" s="13">
        <f t="shared" si="0"/>
        <v>1.4783105022831051</v>
      </c>
    </row>
    <row r="42" spans="2:7" ht="15">
      <c r="B42" s="1" t="s">
        <v>38</v>
      </c>
      <c r="C42" s="2">
        <v>10605</v>
      </c>
      <c r="D42" s="2"/>
      <c r="E42" s="2"/>
      <c r="F42" s="26"/>
      <c r="G42" s="13">
        <f t="shared" si="0"/>
        <v>-1</v>
      </c>
    </row>
    <row r="43" spans="2:7" ht="15">
      <c r="B43" s="1" t="s">
        <v>39</v>
      </c>
      <c r="C43" s="2">
        <v>6915</v>
      </c>
      <c r="D43" s="2"/>
      <c r="E43" s="2"/>
      <c r="F43" s="26"/>
      <c r="G43" s="13">
        <f t="shared" si="0"/>
        <v>-1</v>
      </c>
    </row>
    <row r="44" spans="1:7" ht="15">
      <c r="A44" s="3" t="s">
        <v>40</v>
      </c>
      <c r="C44" s="5">
        <f>SUM(C45:C47)</f>
        <v>251719</v>
      </c>
      <c r="D44" s="5">
        <f>SUM(D45:D47)</f>
        <v>219143</v>
      </c>
      <c r="E44" s="5">
        <f>SUM(E45:E47)</f>
        <v>277824</v>
      </c>
      <c r="F44" s="14">
        <f>SUM(F45:F47)</f>
        <v>350892</v>
      </c>
      <c r="G44" s="13">
        <f t="shared" si="0"/>
        <v>0.3939829730771217</v>
      </c>
    </row>
    <row r="45" spans="2:7" ht="15">
      <c r="B45" s="1" t="s">
        <v>41</v>
      </c>
      <c r="C45" s="2">
        <v>88832</v>
      </c>
      <c r="D45" s="2">
        <f>82943-885</f>
        <v>82058</v>
      </c>
      <c r="E45" s="2">
        <v>73724</v>
      </c>
      <c r="F45" s="26">
        <v>94224</v>
      </c>
      <c r="G45" s="13">
        <f t="shared" si="0"/>
        <v>0.06069884726224784</v>
      </c>
    </row>
    <row r="46" spans="2:7" ht="15">
      <c r="B46" s="1" t="s">
        <v>42</v>
      </c>
      <c r="C46" s="2">
        <v>22374</v>
      </c>
      <c r="D46" s="2">
        <v>4421</v>
      </c>
      <c r="E46" s="2">
        <v>55258</v>
      </c>
      <c r="F46" s="26">
        <v>76440</v>
      </c>
      <c r="G46" s="13">
        <f t="shared" si="0"/>
        <v>2.416465540359346</v>
      </c>
    </row>
    <row r="47" spans="2:7" ht="15">
      <c r="B47" s="1" t="s">
        <v>43</v>
      </c>
      <c r="C47" s="2">
        <v>140513</v>
      </c>
      <c r="D47" s="2">
        <f>132922-258</f>
        <v>132664</v>
      </c>
      <c r="E47" s="2">
        <v>148842</v>
      </c>
      <c r="F47" s="26">
        <v>180228</v>
      </c>
      <c r="G47" s="13">
        <f t="shared" si="0"/>
        <v>0.2826428871349982</v>
      </c>
    </row>
    <row r="48" spans="1:8" ht="15">
      <c r="A48" s="3" t="s">
        <v>44</v>
      </c>
      <c r="C48" s="5">
        <v>2088127</v>
      </c>
      <c r="D48" s="5">
        <f>2971439-119100</f>
        <v>2852339</v>
      </c>
      <c r="E48" s="5">
        <v>3055255</v>
      </c>
      <c r="F48" s="14">
        <v>3194796</v>
      </c>
      <c r="G48" s="13">
        <f t="shared" si="0"/>
        <v>0.5299816534147588</v>
      </c>
      <c r="H48" s="23">
        <f>F48-C48</f>
        <v>1106669</v>
      </c>
    </row>
    <row r="49" spans="1:8" ht="15">
      <c r="A49" s="3" t="s">
        <v>45</v>
      </c>
      <c r="C49" s="5">
        <v>103302</v>
      </c>
      <c r="D49" s="5">
        <f>138645-3906</f>
        <v>134739</v>
      </c>
      <c r="E49" s="5">
        <v>138219</v>
      </c>
      <c r="F49" s="14">
        <v>154596</v>
      </c>
      <c r="G49" s="13">
        <f t="shared" si="0"/>
        <v>0.4965441133763141</v>
      </c>
      <c r="H49" s="23">
        <f>F49-C49</f>
        <v>51294</v>
      </c>
    </row>
    <row r="50" spans="1:7" ht="15">
      <c r="A50" s="3" t="s">
        <v>46</v>
      </c>
      <c r="C50" s="5">
        <v>578242</v>
      </c>
      <c r="D50" s="5">
        <f>604460-2999</f>
        <v>601461</v>
      </c>
      <c r="E50" s="5">
        <v>613462</v>
      </c>
      <c r="F50" s="14">
        <v>686013</v>
      </c>
      <c r="G50" s="13">
        <f t="shared" si="0"/>
        <v>0.18637698403090747</v>
      </c>
    </row>
    <row r="51" spans="1:8" ht="15">
      <c r="A51" s="3" t="s">
        <v>47</v>
      </c>
      <c r="C51" s="5">
        <f>SUM(C52:C53)</f>
        <v>-130395</v>
      </c>
      <c r="D51" s="5">
        <f>SUM(D52:D53)</f>
        <v>-1089151</v>
      </c>
      <c r="E51" s="5">
        <f>SUM(E52:E53)</f>
        <v>-158274</v>
      </c>
      <c r="F51" s="14">
        <f>SUM(F52:F53)</f>
        <v>-176856</v>
      </c>
      <c r="G51" s="13">
        <f t="shared" si="0"/>
        <v>0.3563096744507075</v>
      </c>
      <c r="H51" s="1" t="s">
        <v>109</v>
      </c>
    </row>
    <row r="52" spans="2:7" ht="15">
      <c r="B52" s="1" t="s">
        <v>48</v>
      </c>
      <c r="C52" s="2">
        <v>-22193</v>
      </c>
      <c r="D52" s="2">
        <f>16192-50343</f>
        <v>-34151</v>
      </c>
      <c r="E52" s="2">
        <v>-26195</v>
      </c>
      <c r="F52" s="26">
        <v>-33746</v>
      </c>
      <c r="G52" s="13">
        <f t="shared" si="0"/>
        <v>0.5205695489568783</v>
      </c>
    </row>
    <row r="53" spans="2:7" ht="15">
      <c r="B53" s="1" t="s">
        <v>49</v>
      </c>
      <c r="C53" s="2">
        <v>-108202</v>
      </c>
      <c r="D53" s="2">
        <f>12975-1067975</f>
        <v>-1055000</v>
      </c>
      <c r="E53" s="2">
        <v>-132079</v>
      </c>
      <c r="F53" s="26">
        <v>-143110</v>
      </c>
      <c r="G53" s="13">
        <f t="shared" si="0"/>
        <v>0.3226188055673647</v>
      </c>
    </row>
    <row r="54" spans="1:7" ht="15">
      <c r="A54" s="3" t="s">
        <v>50</v>
      </c>
      <c r="C54" s="5">
        <v>-28527585</v>
      </c>
      <c r="D54" s="5">
        <f>704300-31143461</f>
        <v>-30439161</v>
      </c>
      <c r="E54" s="5">
        <v>-19106859</v>
      </c>
      <c r="F54" s="26">
        <v>-21445600</v>
      </c>
      <c r="G54" s="13">
        <f t="shared" si="0"/>
        <v>-0.24825042147801857</v>
      </c>
    </row>
    <row r="55" spans="1:7" ht="15">
      <c r="A55" s="3" t="s">
        <v>108</v>
      </c>
      <c r="C55" s="5"/>
      <c r="D55" s="5">
        <f>-479148</f>
        <v>-479148</v>
      </c>
      <c r="E55" s="5"/>
      <c r="F55" s="26"/>
      <c r="G55" s="13"/>
    </row>
    <row r="56" spans="1:7" ht="15">
      <c r="A56" s="3" t="s">
        <v>51</v>
      </c>
      <c r="C56" s="5">
        <f>C55+C54+C51+C50+C49+C48+C44+C41+C36+C32+C26+C20+C14+C5</f>
        <v>-18078505</v>
      </c>
      <c r="D56" s="5">
        <f>D55+D54+D51+D50+D49+D48+D44+D41+D36+D32+D26+D20+D14+D5</f>
        <v>-20602990</v>
      </c>
      <c r="E56" s="5">
        <f>E55+E54+E51+E50+E49+E48+E44+E41+E36+E32+E26+E20+E14+E5</f>
        <v>-7394506</v>
      </c>
      <c r="F56" s="14">
        <f>F55+F54+F51+F50+F49+F48+F44+F41+F36+F32+F26+F20+F14+F5</f>
        <v>-8468550</v>
      </c>
      <c r="G56" s="13">
        <f t="shared" si="0"/>
        <v>-0.5315680140586846</v>
      </c>
    </row>
    <row r="58" ht="15">
      <c r="D58" s="2"/>
    </row>
    <row r="59" spans="1:7" ht="14.25">
      <c r="A59" s="1" t="s">
        <v>114</v>
      </c>
      <c r="C59" s="23">
        <f>C41+C32+C20</f>
        <v>1597013</v>
      </c>
      <c r="D59" s="23">
        <f>D41+D32+D20</f>
        <v>1547710</v>
      </c>
      <c r="E59" s="23">
        <f>E41+E32+E20</f>
        <v>1719554</v>
      </c>
      <c r="F59" s="23">
        <f>F41+F32+F20</f>
        <v>1971010</v>
      </c>
      <c r="G59" s="13">
        <f>(F59-C59)/C59</f>
        <v>0.23418531971874995</v>
      </c>
    </row>
    <row r="60" spans="1:7" ht="14.25">
      <c r="A60" s="1" t="s">
        <v>115</v>
      </c>
      <c r="C60" s="23">
        <f>C26+C14</f>
        <v>1231546</v>
      </c>
      <c r="D60" s="23">
        <f>D26+D14</f>
        <v>1373166</v>
      </c>
      <c r="E60" s="23">
        <f>E26+E14</f>
        <v>1307737</v>
      </c>
      <c r="F60" s="23">
        <f>F26+F14</f>
        <v>1567959</v>
      </c>
      <c r="G60" s="13">
        <f>(F60-C60)/C60</f>
        <v>0.27316316239913085</v>
      </c>
    </row>
  </sheetData>
  <mergeCells count="3">
    <mergeCell ref="G3:G4"/>
    <mergeCell ref="C2:G2"/>
    <mergeCell ref="C3:E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GROUPE-ALPHA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tte</dc:creator>
  <cp:keywords/>
  <dc:description/>
  <cp:lastModifiedBy>tte</cp:lastModifiedBy>
  <dcterms:created xsi:type="dcterms:W3CDTF">2009-03-13T12:53:59Z</dcterms:created>
  <dcterms:modified xsi:type="dcterms:W3CDTF">2009-10-18T14:25:43Z</dcterms:modified>
  <cp:category/>
  <cp:version/>
  <cp:contentType/>
  <cp:contentStatus/>
</cp:coreProperties>
</file>